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me\DOC\Projects\Jakosky Properties\The Ramona Building\Sale (2022)\"/>
    </mc:Choice>
  </mc:AlternateContent>
  <xr:revisionPtr revIDLastSave="0" documentId="8_{A798C69F-33D6-4120-9781-2F16E981721C}" xr6:coauthVersionLast="47" xr6:coauthVersionMax="47" xr10:uidLastSave="{00000000-0000-0000-0000-000000000000}"/>
  <bookViews>
    <workbookView xWindow="28680" yWindow="-135" windowWidth="29040" windowHeight="15840" xr2:uid="{40D596E7-5C8C-4BA3-AE2C-8301A07839B7}"/>
  </bookViews>
  <sheets>
    <sheet name="Summary" sheetId="7" r:id="rId1"/>
    <sheet name="Operating Expenses" sheetId="2" r:id="rId2"/>
    <sheet name="Scheduled Income " sheetId="1" r:id="rId3"/>
    <sheet name="Stabilized Incom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" l="1"/>
  <c r="H5" i="5" l="1"/>
  <c r="H6" i="5"/>
  <c r="E51" i="2"/>
  <c r="F51" i="2"/>
  <c r="B34" i="2"/>
  <c r="E8" i="2" s="1"/>
  <c r="B29" i="2"/>
  <c r="D20" i="2"/>
  <c r="C20" i="2" s="1"/>
  <c r="D19" i="2"/>
  <c r="D18" i="2"/>
  <c r="C18" i="2" s="1"/>
  <c r="D17" i="2"/>
  <c r="D16" i="2"/>
  <c r="C16" i="2"/>
  <c r="D15" i="2"/>
  <c r="C15" i="2" s="1"/>
  <c r="D14" i="2"/>
  <c r="E14" i="2" s="1"/>
  <c r="D13" i="2"/>
  <c r="D12" i="2"/>
  <c r="C12" i="2"/>
  <c r="D11" i="2"/>
  <c r="B10" i="2"/>
  <c r="D9" i="2"/>
  <c r="E9" i="2" s="1"/>
  <c r="B7" i="2"/>
  <c r="B6" i="2"/>
  <c r="B5" i="2"/>
  <c r="B4" i="2"/>
  <c r="D3" i="2"/>
  <c r="C3" i="2" s="1"/>
  <c r="K8" i="5"/>
  <c r="K7" i="5"/>
  <c r="I7" i="5"/>
  <c r="J7" i="5" s="1"/>
  <c r="I8" i="5"/>
  <c r="J8" i="5" s="1"/>
  <c r="H8" i="5"/>
  <c r="H7" i="5"/>
  <c r="F8" i="5"/>
  <c r="F7" i="5"/>
  <c r="C9" i="5"/>
  <c r="D6" i="5" s="1"/>
  <c r="K4" i="5"/>
  <c r="H4" i="5"/>
  <c r="I4" i="5" s="1"/>
  <c r="J4" i="5" s="1"/>
  <c r="K3" i="5"/>
  <c r="H3" i="5"/>
  <c r="I3" i="5" s="1"/>
  <c r="J3" i="5" s="1"/>
  <c r="H2" i="5"/>
  <c r="I2" i="5" s="1"/>
  <c r="J2" i="5" s="1"/>
  <c r="I3" i="1"/>
  <c r="J3" i="1" s="1"/>
  <c r="I4" i="1"/>
  <c r="J4" i="1" s="1"/>
  <c r="I2" i="1"/>
  <c r="J2" i="1" s="1"/>
  <c r="K3" i="1"/>
  <c r="K4" i="1" s="1"/>
  <c r="J7" i="1"/>
  <c r="J8" i="1"/>
  <c r="C9" i="1"/>
  <c r="D7" i="1" s="1"/>
  <c r="D3" i="5" l="1"/>
  <c r="E11" i="2"/>
  <c r="E17" i="2"/>
  <c r="E19" i="2"/>
  <c r="E5" i="2"/>
  <c r="E13" i="2"/>
  <c r="E18" i="2"/>
  <c r="E42" i="2"/>
  <c r="C9" i="2"/>
  <c r="E4" i="2"/>
  <c r="E20" i="2"/>
  <c r="E43" i="2" s="1"/>
  <c r="E10" i="2"/>
  <c r="E6" i="2"/>
  <c r="E46" i="2" s="1"/>
  <c r="E12" i="2"/>
  <c r="D21" i="2"/>
  <c r="C34" i="2" s="1"/>
  <c r="D34" i="2" s="1"/>
  <c r="C14" i="2"/>
  <c r="E2" i="2"/>
  <c r="C13" i="2"/>
  <c r="E15" i="2"/>
  <c r="B35" i="2"/>
  <c r="C11" i="2"/>
  <c r="C19" i="2"/>
  <c r="E3" i="2"/>
  <c r="E7" i="2"/>
  <c r="E16" i="2"/>
  <c r="C17" i="2"/>
  <c r="I5" i="5"/>
  <c r="J5" i="5" s="1"/>
  <c r="I6" i="5"/>
  <c r="J6" i="5" s="1"/>
  <c r="D5" i="5"/>
  <c r="D2" i="5"/>
  <c r="D7" i="5"/>
  <c r="D8" i="5"/>
  <c r="D4" i="5"/>
  <c r="D6" i="1"/>
  <c r="D5" i="1"/>
  <c r="D4" i="1"/>
  <c r="D3" i="1"/>
  <c r="D2" i="1"/>
  <c r="D8" i="1"/>
  <c r="D9" i="5" l="1"/>
  <c r="E55" i="2"/>
  <c r="F55" i="2" s="1"/>
  <c r="F46" i="2"/>
  <c r="F42" i="2"/>
  <c r="E52" i="2"/>
  <c r="F52" i="2" s="1"/>
  <c r="F43" i="2"/>
  <c r="E44" i="2"/>
  <c r="E45" i="2"/>
  <c r="E21" i="2"/>
  <c r="C21" i="2"/>
  <c r="B21" i="2" s="1"/>
  <c r="J9" i="5"/>
  <c r="D9" i="1"/>
  <c r="E53" i="2" l="1"/>
  <c r="F44" i="2"/>
  <c r="E47" i="2"/>
  <c r="F47" i="2" s="1"/>
  <c r="E54" i="2"/>
  <c r="F54" i="2" s="1"/>
  <c r="F45" i="2"/>
  <c r="G5" i="1" l="1"/>
  <c r="H5" i="1" s="1"/>
  <c r="I5" i="1" s="1"/>
  <c r="J5" i="1" s="1"/>
  <c r="G6" i="1"/>
  <c r="H6" i="1" s="1"/>
  <c r="I6" i="1" s="1"/>
  <c r="J6" i="1" s="1"/>
  <c r="E56" i="2"/>
  <c r="F56" i="2" s="1"/>
  <c r="F53" i="2"/>
  <c r="J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Wetzel</author>
  </authors>
  <commentList>
    <comment ref="E42" authorId="0" shapeId="0" xr:uid="{C383317E-7410-4ED7-A960-1594520329A1}">
      <text>
        <r>
          <rPr>
            <b/>
            <sz val="9"/>
            <color indexed="81"/>
            <rFont val="Tahoma"/>
            <family val="2"/>
          </rPr>
          <t>Scott Wetzel:</t>
        </r>
        <r>
          <rPr>
            <sz val="9"/>
            <color indexed="81"/>
            <rFont val="Tahoma"/>
            <family val="2"/>
          </rPr>
          <t xml:space="preserve">
1.11497 tax rate</t>
        </r>
      </text>
    </comment>
    <comment ref="E51" authorId="0" shapeId="0" xr:uid="{DB432ACC-CDDF-4CAD-AFF4-7DA3439B1CEC}">
      <text>
        <r>
          <rPr>
            <b/>
            <sz val="9"/>
            <color indexed="81"/>
            <rFont val="Tahoma"/>
            <family val="2"/>
          </rPr>
          <t>Scott Wetzel:</t>
        </r>
        <r>
          <rPr>
            <sz val="9"/>
            <color indexed="81"/>
            <rFont val="Tahoma"/>
            <family val="2"/>
          </rPr>
          <t xml:space="preserve">
1.11497 tax rate</t>
        </r>
      </text>
    </comment>
  </commentList>
</comments>
</file>

<file path=xl/sharedStrings.xml><?xml version="1.0" encoding="utf-8"?>
<sst xmlns="http://schemas.openxmlformats.org/spreadsheetml/2006/main" count="159" uniqueCount="77">
  <si>
    <t>Suite</t>
  </si>
  <si>
    <t>Size</t>
  </si>
  <si>
    <t>Rent PSF</t>
  </si>
  <si>
    <t>Monthly Subtotal</t>
  </si>
  <si>
    <t>Annual Subtotal</t>
  </si>
  <si>
    <t>Tenant</t>
  </si>
  <si>
    <t>Basement</t>
  </si>
  <si>
    <t>Mariners Church</t>
  </si>
  <si>
    <t>Mezzanine</t>
  </si>
  <si>
    <t>SVN Vanguard</t>
  </si>
  <si>
    <t>Financial Advocates</t>
  </si>
  <si>
    <t>Vacant</t>
  </si>
  <si>
    <t>Total</t>
  </si>
  <si>
    <t>Lease Structure</t>
  </si>
  <si>
    <t>Triple Net</t>
  </si>
  <si>
    <t>--</t>
  </si>
  <si>
    <t>% Share</t>
  </si>
  <si>
    <t>LXD</t>
  </si>
  <si>
    <t>OPEX Adjustment</t>
  </si>
  <si>
    <t>Paid Directly</t>
  </si>
  <si>
    <t>NNN Rent</t>
  </si>
  <si>
    <t>Price</t>
  </si>
  <si>
    <t>Price PSF</t>
  </si>
  <si>
    <t>RBA</t>
  </si>
  <si>
    <t>Taxes</t>
  </si>
  <si>
    <t>Insurance</t>
  </si>
  <si>
    <t>Trash</t>
  </si>
  <si>
    <t>Billed directly</t>
  </si>
  <si>
    <t>Electricity</t>
  </si>
  <si>
    <t>Water</t>
  </si>
  <si>
    <t>Janitorial</t>
  </si>
  <si>
    <t>Internet</t>
  </si>
  <si>
    <t>Janitorial/Day Porter</t>
  </si>
  <si>
    <t>Janitorial Supplies</t>
  </si>
  <si>
    <t>Plumbing Repair</t>
  </si>
  <si>
    <t>Bldg Maintenance</t>
  </si>
  <si>
    <t>HVAC Repairs</t>
  </si>
  <si>
    <t>Firelines (Phones)</t>
  </si>
  <si>
    <t>Firelines (Monitoring)</t>
  </si>
  <si>
    <t>Fire Sprinkler Test</t>
  </si>
  <si>
    <t>Roofing Repairs</t>
  </si>
  <si>
    <t>Lighting</t>
  </si>
  <si>
    <t>Elevator</t>
  </si>
  <si>
    <t>Security</t>
  </si>
  <si>
    <t>Property Taxes</t>
  </si>
  <si>
    <t>Property Tax Appeal</t>
  </si>
  <si>
    <t>Items</t>
  </si>
  <si>
    <t>Total Cost</t>
  </si>
  <si>
    <t>2nd Floor</t>
  </si>
  <si>
    <t>Total RBA</t>
  </si>
  <si>
    <t>Totals</t>
  </si>
  <si>
    <t>Mariners</t>
  </si>
  <si>
    <t>Sperry Van Ness</t>
  </si>
  <si>
    <t>Vacancy 1</t>
  </si>
  <si>
    <t>Vacancy 2</t>
  </si>
  <si>
    <t>Notes</t>
  </si>
  <si>
    <t>Two meters serving 2nd floor are 100% allocated to 2nd floor</t>
  </si>
  <si>
    <t>100% allocated to 2nd Floor</t>
  </si>
  <si>
    <t>31.34% allocated to 2nd Floor</t>
  </si>
  <si>
    <t>1st Floor</t>
  </si>
  <si>
    <t>Annual PSF</t>
  </si>
  <si>
    <t>Monthly PSF</t>
  </si>
  <si>
    <t>NNN --&gt; FSG equivalent</t>
  </si>
  <si>
    <t>PSF Allocation</t>
  </si>
  <si>
    <t>Questions</t>
  </si>
  <si>
    <t>Does FA pay 44.16% and SVN pay 55.84%? …the same way they split the Trash?</t>
  </si>
  <si>
    <t>Will these costs increase next year from Mariners' usage?</t>
  </si>
  <si>
    <t>CAMs</t>
  </si>
  <si>
    <t>Utilities</t>
  </si>
  <si>
    <t>TBD</t>
  </si>
  <si>
    <t>200</t>
  </si>
  <si>
    <t>Net of Janitorial</t>
  </si>
  <si>
    <t>Cap Rate (current)</t>
  </si>
  <si>
    <t>Cap Rate (stabilized)</t>
  </si>
  <si>
    <t>Percentage Leased</t>
  </si>
  <si>
    <t>CURRENT</t>
  </si>
  <si>
    <t>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</si>
</sst>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4" fontId="4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quotePrefix="1" applyNumberFormat="1" applyFont="1" applyAlignment="1">
      <alignment horizontal="center"/>
    </xf>
    <xf numFmtId="164" fontId="0" fillId="0" borderId="2" xfId="1" quotePrefix="1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2" xfId="3" applyNumberFormat="1" applyFon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4" fontId="0" fillId="0" borderId="0" xfId="2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4" fontId="0" fillId="0" borderId="2" xfId="2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5" fontId="4" fillId="2" borderId="0" xfId="2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4" fontId="4" fillId="0" borderId="0" xfId="2" applyFont="1"/>
    <xf numFmtId="0" fontId="4" fillId="0" borderId="0" xfId="0" applyFont="1"/>
    <xf numFmtId="44" fontId="1" fillId="0" borderId="0" xfId="2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44" fontId="4" fillId="0" borderId="0" xfId="2" applyFont="1" applyAlignment="1">
      <alignment horizontal="right"/>
    </xf>
    <xf numFmtId="44" fontId="4" fillId="0" borderId="0" xfId="2" applyFont="1" applyAlignment="1">
      <alignment horizontal="left" vertical="top" wrapText="1"/>
    </xf>
    <xf numFmtId="44" fontId="1" fillId="0" borderId="0" xfId="2" applyFont="1" applyAlignment="1">
      <alignment horizontal="right"/>
    </xf>
    <xf numFmtId="44" fontId="1" fillId="0" borderId="0" xfId="2" applyFont="1" applyAlignment="1">
      <alignment wrapText="1"/>
    </xf>
    <xf numFmtId="44" fontId="1" fillId="0" borderId="0" xfId="2" applyFont="1" applyAlignment="1">
      <alignment horizontal="left" vertical="top" wrapText="1"/>
    </xf>
    <xf numFmtId="44" fontId="1" fillId="0" borderId="1" xfId="2" applyFont="1" applyBorder="1"/>
    <xf numFmtId="44" fontId="1" fillId="0" borderId="1" xfId="2" applyFont="1" applyBorder="1" applyAlignment="1">
      <alignment horizontal="right"/>
    </xf>
    <xf numFmtId="0" fontId="1" fillId="0" borderId="0" xfId="0" applyFont="1" applyAlignment="1">
      <alignment horizontal="right"/>
    </xf>
    <xf numFmtId="44" fontId="7" fillId="0" borderId="0" xfId="2" applyFont="1" applyAlignment="1">
      <alignment horizontal="center"/>
    </xf>
    <xf numFmtId="164" fontId="1" fillId="0" borderId="0" xfId="1" applyNumberFormat="1" applyFont="1"/>
    <xf numFmtId="44" fontId="3" fillId="0" borderId="4" xfId="2" applyFont="1" applyBorder="1"/>
    <xf numFmtId="164" fontId="1" fillId="0" borderId="4" xfId="1" applyNumberFormat="1" applyFont="1" applyBorder="1"/>
    <xf numFmtId="164" fontId="8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4" fontId="3" fillId="0" borderId="1" xfId="2" applyFont="1" applyBorder="1"/>
    <xf numFmtId="164" fontId="1" fillId="0" borderId="1" xfId="1" applyNumberFormat="1" applyFont="1" applyBorder="1"/>
    <xf numFmtId="44" fontId="1" fillId="0" borderId="0" xfId="2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/>
    <xf numFmtId="44" fontId="1" fillId="0" borderId="0" xfId="2" applyFont="1" applyBorder="1" applyAlignment="1">
      <alignment horizontal="left" vertical="top" wrapText="1"/>
    </xf>
    <xf numFmtId="0" fontId="3" fillId="2" borderId="0" xfId="0" applyFont="1" applyFill="1" applyBorder="1" applyAlignment="1"/>
    <xf numFmtId="44" fontId="4" fillId="2" borderId="0" xfId="2" applyFont="1" applyFill="1" applyBorder="1" applyAlignment="1">
      <alignment horizontal="center"/>
    </xf>
    <xf numFmtId="44" fontId="1" fillId="0" borderId="0" xfId="0" applyNumberFormat="1" applyFont="1"/>
    <xf numFmtId="0" fontId="3" fillId="0" borderId="1" xfId="0" applyFont="1" applyBorder="1"/>
    <xf numFmtId="44" fontId="3" fillId="0" borderId="1" xfId="0" applyNumberFormat="1" applyFont="1" applyBorder="1"/>
    <xf numFmtId="44" fontId="1" fillId="0" borderId="0" xfId="2" applyFont="1" applyFill="1" applyBorder="1"/>
    <xf numFmtId="0" fontId="1" fillId="0" borderId="0" xfId="0" applyFont="1" applyFill="1" applyBorder="1" applyAlignment="1">
      <alignment horizontal="right"/>
    </xf>
    <xf numFmtId="44" fontId="1" fillId="0" borderId="0" xfId="2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0" fontId="8" fillId="0" borderId="0" xfId="3" applyNumberFormat="1" applyFont="1" applyAlignment="1">
      <alignment horizontal="center"/>
    </xf>
    <xf numFmtId="44" fontId="8" fillId="0" borderId="0" xfId="2" applyFont="1" applyAlignment="1">
      <alignment horizontal="center"/>
    </xf>
    <xf numFmtId="165" fontId="8" fillId="0" borderId="0" xfId="2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165" fontId="0" fillId="0" borderId="0" xfId="2" applyNumberFormat="1" applyFont="1"/>
    <xf numFmtId="9" fontId="0" fillId="0" borderId="0" xfId="3" applyFont="1"/>
    <xf numFmtId="10" fontId="0" fillId="0" borderId="0" xfId="3" applyNumberFormat="1" applyFont="1"/>
    <xf numFmtId="164" fontId="0" fillId="0" borderId="0" xfId="1" applyNumberFormat="1" applyFont="1" applyAlignment="1">
      <alignment horizontal="right" wrapText="1"/>
    </xf>
    <xf numFmtId="14" fontId="8" fillId="0" borderId="0" xfId="0" applyNumberFormat="1" applyFont="1" applyAlignment="1">
      <alignment horizontal="center"/>
    </xf>
    <xf numFmtId="0" fontId="2" fillId="3" borderId="0" xfId="0" applyFont="1" applyFill="1"/>
    <xf numFmtId="165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406D-DB48-46FC-B215-844098E00458}">
  <dimension ref="A1:B6"/>
  <sheetViews>
    <sheetView tabSelected="1" workbookViewId="0">
      <selection activeCell="B7" sqref="B7"/>
    </sheetView>
  </sheetViews>
  <sheetFormatPr defaultRowHeight="15" x14ac:dyDescent="0.25"/>
  <cols>
    <col min="1" max="1" width="19.42578125" bestFit="1" customWidth="1"/>
    <col min="2" max="2" width="33.5703125" customWidth="1"/>
  </cols>
  <sheetData>
    <row r="1" spans="1:2" x14ac:dyDescent="0.25">
      <c r="A1" t="s">
        <v>23</v>
      </c>
      <c r="B1" s="68">
        <v>36219</v>
      </c>
    </row>
    <row r="2" spans="1:2" x14ac:dyDescent="0.25">
      <c r="A2" t="s">
        <v>21</v>
      </c>
      <c r="B2" s="65">
        <v>10150000</v>
      </c>
    </row>
    <row r="3" spans="1:2" x14ac:dyDescent="0.25">
      <c r="A3" t="s">
        <v>22</v>
      </c>
      <c r="B3" s="65">
        <f>B2/B1</f>
        <v>280.23965322068528</v>
      </c>
    </row>
    <row r="4" spans="1:2" x14ac:dyDescent="0.25">
      <c r="A4" t="s">
        <v>72</v>
      </c>
      <c r="B4" s="67">
        <v>4.9500000000000002E-2</v>
      </c>
    </row>
    <row r="5" spans="1:2" x14ac:dyDescent="0.25">
      <c r="A5" t="s">
        <v>73</v>
      </c>
      <c r="B5" s="67">
        <v>6.2300000000000001E-2</v>
      </c>
    </row>
    <row r="6" spans="1:2" x14ac:dyDescent="0.25">
      <c r="A6" t="s">
        <v>74</v>
      </c>
      <c r="B6" s="66">
        <v>0.9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A669-682F-43BA-9DF6-56AB30C97F88}">
  <dimension ref="A1:H57"/>
  <sheetViews>
    <sheetView topLeftCell="D40" workbookViewId="0">
      <selection activeCell="I50" sqref="I50"/>
    </sheetView>
  </sheetViews>
  <sheetFormatPr defaultRowHeight="15" x14ac:dyDescent="0.25"/>
  <cols>
    <col min="1" max="1" width="30.7109375" style="26" hidden="1" customWidth="1"/>
    <col min="2" max="2" width="30.7109375" style="25" hidden="1" customWidth="1"/>
    <col min="3" max="3" width="30.7109375" style="36" hidden="1" customWidth="1"/>
    <col min="4" max="6" width="30.7109375" style="26" customWidth="1"/>
    <col min="7" max="7" width="30.7109375" style="33" customWidth="1"/>
    <col min="8" max="16384" width="9.140625" style="26"/>
  </cols>
  <sheetData>
    <row r="1" spans="1:8" s="24" customFormat="1" ht="17.25" hidden="1" x14ac:dyDescent="0.4">
      <c r="A1" s="23" t="s">
        <v>46</v>
      </c>
      <c r="B1" s="23" t="s">
        <v>47</v>
      </c>
      <c r="C1" s="29" t="s">
        <v>51</v>
      </c>
      <c r="D1" s="23" t="s">
        <v>48</v>
      </c>
      <c r="E1" s="23" t="s">
        <v>63</v>
      </c>
      <c r="F1" s="23" t="s">
        <v>55</v>
      </c>
      <c r="G1" s="30" t="s">
        <v>64</v>
      </c>
      <c r="H1" s="23"/>
    </row>
    <row r="2" spans="1:8" ht="45" hidden="1" x14ac:dyDescent="0.25">
      <c r="A2" s="25" t="s">
        <v>28</v>
      </c>
      <c r="B2" s="25">
        <v>38561.599999999999</v>
      </c>
      <c r="C2" s="31">
        <v>1522.81</v>
      </c>
      <c r="D2" s="25">
        <v>37038.79</v>
      </c>
      <c r="E2" s="25">
        <f t="shared" ref="E2:E20" si="0">D2/$B$34</f>
        <v>3.4948848839403661</v>
      </c>
      <c r="F2" s="32" t="s">
        <v>56</v>
      </c>
      <c r="G2" s="33" t="s">
        <v>65</v>
      </c>
      <c r="H2" s="25"/>
    </row>
    <row r="3" spans="1:8" hidden="1" x14ac:dyDescent="0.25">
      <c r="A3" s="25" t="s">
        <v>29</v>
      </c>
      <c r="B3" s="25">
        <v>3906.06</v>
      </c>
      <c r="C3" s="31">
        <f>B3-D3</f>
        <v>2681.9007959999999</v>
      </c>
      <c r="D3" s="25">
        <f>0.3134*B3</f>
        <v>1224.159204</v>
      </c>
      <c r="E3" s="25">
        <f t="shared" si="0"/>
        <v>0.11550851141724854</v>
      </c>
      <c r="F3" s="25" t="s">
        <v>58</v>
      </c>
      <c r="H3" s="25"/>
    </row>
    <row r="4" spans="1:8" ht="30" hidden="1" x14ac:dyDescent="0.25">
      <c r="A4" s="25" t="s">
        <v>26</v>
      </c>
      <c r="B4" s="25">
        <f>D4</f>
        <v>1322.25</v>
      </c>
      <c r="C4" s="31" t="s">
        <v>27</v>
      </c>
      <c r="D4" s="25">
        <v>1322.25</v>
      </c>
      <c r="E4" s="25">
        <f t="shared" si="0"/>
        <v>0.12476410643517645</v>
      </c>
      <c r="F4" s="25" t="s">
        <v>57</v>
      </c>
      <c r="G4" s="33" t="s">
        <v>66</v>
      </c>
      <c r="H4" s="25"/>
    </row>
    <row r="5" spans="1:8" ht="30" hidden="1" x14ac:dyDescent="0.25">
      <c r="A5" s="25" t="s">
        <v>32</v>
      </c>
      <c r="B5" s="25">
        <f>D5</f>
        <v>6210</v>
      </c>
      <c r="C5" s="31" t="s">
        <v>27</v>
      </c>
      <c r="D5" s="25">
        <v>6210</v>
      </c>
      <c r="E5" s="25">
        <f t="shared" si="0"/>
        <v>0.58595961502170224</v>
      </c>
      <c r="F5" s="25" t="s">
        <v>57</v>
      </c>
      <c r="G5" s="33" t="s">
        <v>66</v>
      </c>
      <c r="H5" s="25"/>
    </row>
    <row r="6" spans="1:8" ht="30" hidden="1" x14ac:dyDescent="0.25">
      <c r="A6" s="25" t="s">
        <v>33</v>
      </c>
      <c r="B6" s="25">
        <f t="shared" ref="B6:B7" si="1">D6</f>
        <v>1291.0999999999999</v>
      </c>
      <c r="C6" s="31" t="s">
        <v>27</v>
      </c>
      <c r="D6" s="25">
        <v>1291.0999999999999</v>
      </c>
      <c r="E6" s="25">
        <f t="shared" si="0"/>
        <v>0.12182487261747499</v>
      </c>
      <c r="F6" s="25" t="s">
        <v>57</v>
      </c>
      <c r="G6" s="33" t="s">
        <v>66</v>
      </c>
      <c r="H6" s="25"/>
    </row>
    <row r="7" spans="1:8" hidden="1" x14ac:dyDescent="0.25">
      <c r="A7" s="25" t="s">
        <v>34</v>
      </c>
      <c r="B7" s="25">
        <f t="shared" si="1"/>
        <v>0</v>
      </c>
      <c r="C7" s="31" t="s">
        <v>27</v>
      </c>
      <c r="D7" s="25">
        <v>0</v>
      </c>
      <c r="E7" s="25">
        <f t="shared" si="0"/>
        <v>0</v>
      </c>
      <c r="F7" s="25" t="s">
        <v>57</v>
      </c>
      <c r="H7" s="25"/>
    </row>
    <row r="8" spans="1:8" hidden="1" x14ac:dyDescent="0.25">
      <c r="A8" s="25" t="s">
        <v>35</v>
      </c>
      <c r="B8" s="25">
        <v>0</v>
      </c>
      <c r="C8" s="31">
        <v>0</v>
      </c>
      <c r="D8" s="25">
        <v>0</v>
      </c>
      <c r="E8" s="25">
        <f t="shared" si="0"/>
        <v>0</v>
      </c>
      <c r="F8" s="25" t="s">
        <v>58</v>
      </c>
      <c r="H8" s="25"/>
    </row>
    <row r="9" spans="1:8" hidden="1" x14ac:dyDescent="0.25">
      <c r="A9" s="25" t="s">
        <v>31</v>
      </c>
      <c r="B9" s="25">
        <v>2880</v>
      </c>
      <c r="C9" s="31">
        <f>B9-D9</f>
        <v>1977.4079999999999</v>
      </c>
      <c r="D9" s="25">
        <f>0.3134*B9</f>
        <v>902.59199999999998</v>
      </c>
      <c r="E9" s="25">
        <f t="shared" si="0"/>
        <v>8.5166257784487637E-2</v>
      </c>
      <c r="F9" s="25" t="s">
        <v>58</v>
      </c>
      <c r="H9" s="25"/>
    </row>
    <row r="10" spans="1:8" ht="30" hidden="1" x14ac:dyDescent="0.25">
      <c r="A10" s="25" t="s">
        <v>36</v>
      </c>
      <c r="B10" s="25">
        <f>D10</f>
        <v>4828.75</v>
      </c>
      <c r="C10" s="31" t="s">
        <v>27</v>
      </c>
      <c r="D10" s="25">
        <v>4828.75</v>
      </c>
      <c r="E10" s="25">
        <f t="shared" si="0"/>
        <v>0.45562842045668994</v>
      </c>
      <c r="F10" s="25" t="s">
        <v>57</v>
      </c>
      <c r="G10" s="33" t="s">
        <v>66</v>
      </c>
      <c r="H10" s="25"/>
    </row>
    <row r="11" spans="1:8" hidden="1" x14ac:dyDescent="0.25">
      <c r="A11" s="25" t="s">
        <v>37</v>
      </c>
      <c r="B11" s="25">
        <v>1950.38</v>
      </c>
      <c r="C11" s="31">
        <f>B11-D11</f>
        <v>1339.1309080000001</v>
      </c>
      <c r="D11" s="25">
        <f>0.3134*B11</f>
        <v>611.24909200000002</v>
      </c>
      <c r="E11" s="25">
        <f t="shared" si="0"/>
        <v>5.767589092281563E-2</v>
      </c>
      <c r="F11" s="25" t="s">
        <v>58</v>
      </c>
      <c r="H11" s="25"/>
    </row>
    <row r="12" spans="1:8" hidden="1" x14ac:dyDescent="0.25">
      <c r="A12" s="25" t="s">
        <v>38</v>
      </c>
      <c r="B12" s="25">
        <v>1637.12</v>
      </c>
      <c r="C12" s="31">
        <f t="shared" ref="C12:C20" si="2">B12-D12</f>
        <v>1124.0465919999999</v>
      </c>
      <c r="D12" s="25">
        <f t="shared" ref="D12:D20" si="3">0.3134*B12</f>
        <v>513.07340799999997</v>
      </c>
      <c r="E12" s="25">
        <f t="shared" si="0"/>
        <v>4.8412286091715419E-2</v>
      </c>
      <c r="F12" s="25" t="s">
        <v>58</v>
      </c>
      <c r="H12" s="25"/>
    </row>
    <row r="13" spans="1:8" hidden="1" x14ac:dyDescent="0.25">
      <c r="A13" s="25" t="s">
        <v>39</v>
      </c>
      <c r="B13" s="25">
        <v>1155</v>
      </c>
      <c r="C13" s="31">
        <f t="shared" si="2"/>
        <v>793.02299999999991</v>
      </c>
      <c r="D13" s="25">
        <f t="shared" si="3"/>
        <v>361.97700000000003</v>
      </c>
      <c r="E13" s="25">
        <f t="shared" si="0"/>
        <v>3.4155217965653899E-2</v>
      </c>
      <c r="F13" s="25" t="s">
        <v>58</v>
      </c>
      <c r="H13" s="25"/>
    </row>
    <row r="14" spans="1:8" hidden="1" x14ac:dyDescent="0.25">
      <c r="A14" s="25" t="s">
        <v>40</v>
      </c>
      <c r="B14" s="25">
        <v>0</v>
      </c>
      <c r="C14" s="31">
        <f t="shared" si="2"/>
        <v>0</v>
      </c>
      <c r="D14" s="25">
        <f t="shared" si="3"/>
        <v>0</v>
      </c>
      <c r="E14" s="25">
        <f t="shared" si="0"/>
        <v>0</v>
      </c>
      <c r="F14" s="25" t="s">
        <v>58</v>
      </c>
      <c r="H14" s="25"/>
    </row>
    <row r="15" spans="1:8" hidden="1" x14ac:dyDescent="0.25">
      <c r="A15" s="25" t="s">
        <v>41</v>
      </c>
      <c r="B15" s="25">
        <v>65.94</v>
      </c>
      <c r="C15" s="31">
        <f t="shared" si="2"/>
        <v>45.274403999999997</v>
      </c>
      <c r="D15" s="25">
        <f t="shared" si="3"/>
        <v>20.665596000000001</v>
      </c>
      <c r="E15" s="25">
        <f t="shared" si="0"/>
        <v>1.9499524438573316E-3</v>
      </c>
      <c r="F15" s="25" t="s">
        <v>58</v>
      </c>
      <c r="H15" s="25"/>
    </row>
    <row r="16" spans="1:8" hidden="1" x14ac:dyDescent="0.25">
      <c r="A16" s="25" t="s">
        <v>42</v>
      </c>
      <c r="B16" s="25">
        <v>6440.64</v>
      </c>
      <c r="C16" s="31">
        <f t="shared" si="2"/>
        <v>4422.1434239999999</v>
      </c>
      <c r="D16" s="25">
        <f t="shared" si="3"/>
        <v>2018.4965760000002</v>
      </c>
      <c r="E16" s="25">
        <f t="shared" si="0"/>
        <v>0.19046014115870921</v>
      </c>
      <c r="F16" s="25" t="s">
        <v>58</v>
      </c>
      <c r="H16" s="25"/>
    </row>
    <row r="17" spans="1:8" hidden="1" x14ac:dyDescent="0.25">
      <c r="A17" s="25" t="s">
        <v>43</v>
      </c>
      <c r="B17" s="25">
        <v>7147.29</v>
      </c>
      <c r="C17" s="31">
        <f t="shared" si="2"/>
        <v>4907.3293140000005</v>
      </c>
      <c r="D17" s="25">
        <f t="shared" si="3"/>
        <v>2239.9606859999999</v>
      </c>
      <c r="E17" s="25">
        <f t="shared" si="0"/>
        <v>0.21135692451405924</v>
      </c>
      <c r="F17" s="25" t="s">
        <v>58</v>
      </c>
      <c r="H17" s="25"/>
    </row>
    <row r="18" spans="1:8" hidden="1" x14ac:dyDescent="0.25">
      <c r="A18" s="25" t="s">
        <v>44</v>
      </c>
      <c r="B18" s="25">
        <v>44588.55</v>
      </c>
      <c r="C18" s="31">
        <f t="shared" si="2"/>
        <v>30614.49843</v>
      </c>
      <c r="D18" s="25">
        <f t="shared" si="3"/>
        <v>13974.051570000001</v>
      </c>
      <c r="E18" s="25">
        <f t="shared" si="0"/>
        <v>1.3185555359501795</v>
      </c>
      <c r="F18" s="25" t="s">
        <v>58</v>
      </c>
      <c r="H18" s="25"/>
    </row>
    <row r="19" spans="1:8" hidden="1" x14ac:dyDescent="0.25">
      <c r="A19" s="25" t="s">
        <v>45</v>
      </c>
      <c r="B19" s="25">
        <v>299.48</v>
      </c>
      <c r="C19" s="31">
        <f t="shared" si="2"/>
        <v>205.62296800000001</v>
      </c>
      <c r="D19" s="25">
        <f t="shared" si="3"/>
        <v>93.857032000000004</v>
      </c>
      <c r="E19" s="25">
        <f t="shared" si="0"/>
        <v>8.8561079448952629E-3</v>
      </c>
      <c r="F19" s="25" t="s">
        <v>58</v>
      </c>
      <c r="H19" s="25"/>
    </row>
    <row r="20" spans="1:8" hidden="1" x14ac:dyDescent="0.25">
      <c r="A20" s="25" t="s">
        <v>25</v>
      </c>
      <c r="B20" s="25">
        <v>8206.93</v>
      </c>
      <c r="C20" s="31">
        <f t="shared" si="2"/>
        <v>5634.878138</v>
      </c>
      <c r="D20" s="25">
        <f t="shared" si="3"/>
        <v>2572.0518620000003</v>
      </c>
      <c r="E20" s="25">
        <f t="shared" si="0"/>
        <v>0.24269219305529346</v>
      </c>
      <c r="F20" s="25" t="s">
        <v>58</v>
      </c>
      <c r="H20" s="25"/>
    </row>
    <row r="21" spans="1:8" ht="15.75" hidden="1" thickBot="1" x14ac:dyDescent="0.3">
      <c r="A21" s="25" t="s">
        <v>50</v>
      </c>
      <c r="B21" s="34">
        <f>SUM(C21:D21)</f>
        <v>130491.09</v>
      </c>
      <c r="C21" s="35">
        <f>SUM(C11:C20,C9,C3,C8,C2)</f>
        <v>55268.065974000005</v>
      </c>
      <c r="D21" s="34">
        <f>SUM(D2:D20)</f>
        <v>75223.024025999999</v>
      </c>
      <c r="E21" s="34">
        <f>SUM(E2:E20)</f>
        <v>7.0978509177203257</v>
      </c>
      <c r="F21" s="25"/>
      <c r="H21" s="25"/>
    </row>
    <row r="22" spans="1:8" ht="15.75" hidden="1" thickTop="1" x14ac:dyDescent="0.25"/>
    <row r="23" spans="1:8" hidden="1" x14ac:dyDescent="0.25"/>
    <row r="24" spans="1:8" ht="15.75" hidden="1" thickBot="1" x14ac:dyDescent="0.3">
      <c r="C24" s="72" t="s">
        <v>62</v>
      </c>
      <c r="D24" s="73"/>
    </row>
    <row r="25" spans="1:8" ht="17.25" hidden="1" x14ac:dyDescent="0.4">
      <c r="C25" s="37" t="s">
        <v>60</v>
      </c>
      <c r="D25" s="37" t="s">
        <v>61</v>
      </c>
    </row>
    <row r="26" spans="1:8" hidden="1" x14ac:dyDescent="0.25">
      <c r="A26" s="25" t="s">
        <v>6</v>
      </c>
      <c r="B26" s="38">
        <v>12119</v>
      </c>
    </row>
    <row r="27" spans="1:8" hidden="1" x14ac:dyDescent="0.25">
      <c r="A27" s="25" t="s">
        <v>59</v>
      </c>
      <c r="B27" s="38">
        <v>11100</v>
      </c>
    </row>
    <row r="28" spans="1:8" hidden="1" x14ac:dyDescent="0.25">
      <c r="A28" s="25" t="s">
        <v>8</v>
      </c>
      <c r="B28" s="38">
        <v>2322</v>
      </c>
    </row>
    <row r="29" spans="1:8" hidden="1" x14ac:dyDescent="0.25">
      <c r="A29" s="39" t="s">
        <v>51</v>
      </c>
      <c r="B29" s="40">
        <f>SUM(B26:B28)</f>
        <v>25541</v>
      </c>
    </row>
    <row r="30" spans="1:8" hidden="1" x14ac:dyDescent="0.25">
      <c r="A30" s="25" t="s">
        <v>10</v>
      </c>
      <c r="B30" s="41">
        <v>3017</v>
      </c>
    </row>
    <row r="31" spans="1:8" hidden="1" x14ac:dyDescent="0.25">
      <c r="A31" s="25" t="s">
        <v>52</v>
      </c>
      <c r="B31" s="41">
        <v>3814</v>
      </c>
    </row>
    <row r="32" spans="1:8" hidden="1" x14ac:dyDescent="0.25">
      <c r="A32" s="25" t="s">
        <v>53</v>
      </c>
      <c r="B32" s="42">
        <v>2036</v>
      </c>
    </row>
    <row r="33" spans="1:7" hidden="1" x14ac:dyDescent="0.25">
      <c r="A33" s="25" t="s">
        <v>54</v>
      </c>
      <c r="B33" s="43">
        <v>1731</v>
      </c>
    </row>
    <row r="34" spans="1:7" hidden="1" x14ac:dyDescent="0.25">
      <c r="A34" s="39" t="s">
        <v>48</v>
      </c>
      <c r="B34" s="40">
        <f>SUM(B30:B33)</f>
        <v>10598</v>
      </c>
      <c r="C34" s="31">
        <f>D21/B34</f>
        <v>7.0978509177203248</v>
      </c>
      <c r="D34" s="25">
        <f>C34/12</f>
        <v>0.5914875764766937</v>
      </c>
    </row>
    <row r="35" spans="1:7" ht="15.75" hidden="1" thickBot="1" x14ac:dyDescent="0.3">
      <c r="A35" s="44" t="s">
        <v>49</v>
      </c>
      <c r="B35" s="45">
        <f>B34+B29</f>
        <v>36139</v>
      </c>
    </row>
    <row r="36" spans="1:7" hidden="1" x14ac:dyDescent="0.25"/>
    <row r="37" spans="1:7" hidden="1" x14ac:dyDescent="0.25"/>
    <row r="38" spans="1:7" ht="15.75" hidden="1" thickBot="1" x14ac:dyDescent="0.3"/>
    <row r="39" spans="1:7" s="27" customFormat="1" hidden="1" x14ac:dyDescent="0.25">
      <c r="B39" s="46"/>
      <c r="C39" s="47"/>
      <c r="E39" s="48"/>
      <c r="G39" s="49"/>
    </row>
    <row r="40" spans="1:7" s="27" customFormat="1" x14ac:dyDescent="0.25">
      <c r="B40" s="46"/>
      <c r="C40" s="47"/>
      <c r="D40" s="70" t="s">
        <v>75</v>
      </c>
      <c r="E40" s="70"/>
      <c r="F40" s="70"/>
      <c r="G40" s="49"/>
    </row>
    <row r="41" spans="1:7" ht="17.25" x14ac:dyDescent="0.4">
      <c r="D41" s="50"/>
      <c r="E41" s="51" t="s">
        <v>60</v>
      </c>
      <c r="F41" s="1" t="s">
        <v>61</v>
      </c>
    </row>
    <row r="42" spans="1:7" x14ac:dyDescent="0.25">
      <c r="D42" s="26" t="s">
        <v>24</v>
      </c>
      <c r="E42" s="52">
        <f>SUM(E18,E19)</f>
        <v>1.3274116438950747</v>
      </c>
      <c r="F42" s="52">
        <f>E42/12</f>
        <v>0.11061763699125622</v>
      </c>
    </row>
    <row r="43" spans="1:7" x14ac:dyDescent="0.25">
      <c r="D43" s="26" t="s">
        <v>25</v>
      </c>
      <c r="E43" s="52">
        <f>E20</f>
        <v>0.24269219305529346</v>
      </c>
      <c r="F43" s="52">
        <f t="shared" ref="F43:F46" si="4">E43/12</f>
        <v>2.0224349421274455E-2</v>
      </c>
    </row>
    <row r="44" spans="1:7" x14ac:dyDescent="0.25">
      <c r="D44" s="26" t="s">
        <v>67</v>
      </c>
      <c r="E44" s="52">
        <f>SUM(E3,E4,E9,E10,E11,E12,E13,E14,E15,E17,E16,)</f>
        <v>1.3250777091904133</v>
      </c>
      <c r="F44" s="52">
        <f t="shared" si="4"/>
        <v>0.11042314243253444</v>
      </c>
    </row>
    <row r="45" spans="1:7" x14ac:dyDescent="0.25">
      <c r="D45" s="26" t="s">
        <v>68</v>
      </c>
      <c r="E45" s="52">
        <f>SUM(E2)</f>
        <v>3.4948848839403661</v>
      </c>
      <c r="F45" s="52">
        <f t="shared" si="4"/>
        <v>0.29124040699503051</v>
      </c>
    </row>
    <row r="46" spans="1:7" x14ac:dyDescent="0.25">
      <c r="D46" s="26" t="s">
        <v>30</v>
      </c>
      <c r="E46" s="52">
        <f>E5+E6</f>
        <v>0.70778448763917723</v>
      </c>
      <c r="F46" s="52">
        <f t="shared" si="4"/>
        <v>5.89820406365981E-2</v>
      </c>
    </row>
    <row r="47" spans="1:7" ht="15.75" thickBot="1" x14ac:dyDescent="0.3">
      <c r="D47" s="53" t="s">
        <v>12</v>
      </c>
      <c r="E47" s="54">
        <f>SUM(E42:E46)</f>
        <v>7.0978509177203248</v>
      </c>
      <c r="F47" s="54">
        <f>E47/12</f>
        <v>0.5914875764766937</v>
      </c>
    </row>
    <row r="48" spans="1:7" ht="15.75" thickTop="1" x14ac:dyDescent="0.25"/>
    <row r="49" spans="2:7" x14ac:dyDescent="0.25">
      <c r="D49" s="70" t="s">
        <v>76</v>
      </c>
      <c r="E49" s="70"/>
      <c r="F49" s="70"/>
    </row>
    <row r="50" spans="2:7" s="28" customFormat="1" ht="17.25" x14ac:dyDescent="0.4">
      <c r="B50" s="55"/>
      <c r="C50" s="56"/>
      <c r="D50" s="50"/>
      <c r="E50" s="51" t="s">
        <v>60</v>
      </c>
      <c r="F50" s="51" t="s">
        <v>61</v>
      </c>
      <c r="G50" s="57"/>
    </row>
    <row r="51" spans="2:7" x14ac:dyDescent="0.25">
      <c r="D51" s="26" t="s">
        <v>24</v>
      </c>
      <c r="E51" s="52">
        <f>0.0111497*10000000/36139</f>
        <v>3.0852264866211017</v>
      </c>
      <c r="F51" s="52">
        <f>E51/12</f>
        <v>0.25710220721842514</v>
      </c>
    </row>
    <row r="52" spans="2:7" x14ac:dyDescent="0.25">
      <c r="D52" s="26" t="s">
        <v>25</v>
      </c>
      <c r="E52" s="52">
        <f>E43*1.03</f>
        <v>0.24997295884695228</v>
      </c>
      <c r="F52" s="52">
        <f t="shared" ref="F52:F55" si="5">E52/12</f>
        <v>2.083107990391269E-2</v>
      </c>
    </row>
    <row r="53" spans="2:7" x14ac:dyDescent="0.25">
      <c r="D53" s="26" t="s">
        <v>67</v>
      </c>
      <c r="E53" s="52">
        <f>E44*1.03</f>
        <v>1.3648300404661258</v>
      </c>
      <c r="F53" s="52">
        <f t="shared" si="5"/>
        <v>0.11373583670551048</v>
      </c>
    </row>
    <row r="54" spans="2:7" x14ac:dyDescent="0.25">
      <c r="D54" s="26" t="s">
        <v>68</v>
      </c>
      <c r="E54" s="52">
        <f>E45*1.03</f>
        <v>3.599731430458577</v>
      </c>
      <c r="F54" s="52">
        <f t="shared" si="5"/>
        <v>0.29997761920488142</v>
      </c>
    </row>
    <row r="55" spans="2:7" x14ac:dyDescent="0.25">
      <c r="D55" s="26" t="s">
        <v>30</v>
      </c>
      <c r="E55" s="52">
        <f>E46*1.03</f>
        <v>0.72901802226835255</v>
      </c>
      <c r="F55" s="52">
        <f t="shared" si="5"/>
        <v>6.0751501855696048E-2</v>
      </c>
    </row>
    <row r="56" spans="2:7" ht="15.75" thickBot="1" x14ac:dyDescent="0.3">
      <c r="D56" s="53" t="s">
        <v>12</v>
      </c>
      <c r="E56" s="54">
        <f>SUM(E51:E55)</f>
        <v>9.0287789386611088</v>
      </c>
      <c r="F56" s="54">
        <f>E56/12</f>
        <v>0.75239824488842577</v>
      </c>
    </row>
    <row r="57" spans="2:7" ht="15.75" thickTop="1" x14ac:dyDescent="0.25"/>
  </sheetData>
  <mergeCells count="1">
    <mergeCell ref="C24:D2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0A1BD-7B09-43D1-B662-7E1DC7A4246F}">
  <dimension ref="A1:K10"/>
  <sheetViews>
    <sheetView workbookViewId="0">
      <selection activeCell="C15" sqref="C15"/>
    </sheetView>
  </sheetViews>
  <sheetFormatPr defaultRowHeight="15" x14ac:dyDescent="0.25"/>
  <cols>
    <col min="1" max="2" width="20.7109375" style="2" customWidth="1"/>
    <col min="3" max="5" width="20.7109375" style="4" customWidth="1"/>
    <col min="6" max="8" width="20.7109375" style="2" customWidth="1"/>
    <col min="9" max="10" width="20.7109375" style="17" customWidth="1"/>
    <col min="11" max="11" width="20.7109375" style="2" customWidth="1"/>
    <col min="12" max="15" width="20.7109375" customWidth="1"/>
  </cols>
  <sheetData>
    <row r="1" spans="1:11" s="1" customFormat="1" ht="17.25" x14ac:dyDescent="0.4">
      <c r="A1" s="1" t="s">
        <v>0</v>
      </c>
      <c r="B1" s="1" t="s">
        <v>5</v>
      </c>
      <c r="C1" s="3" t="s">
        <v>1</v>
      </c>
      <c r="D1" s="3" t="s">
        <v>16</v>
      </c>
      <c r="E1" s="3" t="s">
        <v>13</v>
      </c>
      <c r="F1" s="1" t="s">
        <v>2</v>
      </c>
      <c r="G1" s="1" t="s">
        <v>18</v>
      </c>
      <c r="H1" s="1" t="s">
        <v>20</v>
      </c>
      <c r="I1" s="15" t="s">
        <v>3</v>
      </c>
      <c r="J1" s="15" t="s">
        <v>4</v>
      </c>
      <c r="K1" s="1" t="s">
        <v>17</v>
      </c>
    </row>
    <row r="2" spans="1:11" x14ac:dyDescent="0.25">
      <c r="A2" s="2" t="s">
        <v>6</v>
      </c>
      <c r="B2" s="2" t="s">
        <v>7</v>
      </c>
      <c r="C2" s="4">
        <v>12199</v>
      </c>
      <c r="D2" s="8">
        <f>C2/$C$9</f>
        <v>0.33681217040779704</v>
      </c>
      <c r="E2" s="4" t="s">
        <v>14</v>
      </c>
      <c r="F2" s="11">
        <v>0.65</v>
      </c>
      <c r="G2" s="11" t="s">
        <v>19</v>
      </c>
      <c r="H2" s="11">
        <v>0.65</v>
      </c>
      <c r="I2" s="16">
        <f>H2*C2</f>
        <v>7929.35</v>
      </c>
      <c r="J2" s="16">
        <f>I2*12</f>
        <v>95152.200000000012</v>
      </c>
      <c r="K2" s="20">
        <v>46783</v>
      </c>
    </row>
    <row r="3" spans="1:11" x14ac:dyDescent="0.25">
      <c r="A3" s="2">
        <v>100</v>
      </c>
      <c r="B3" s="2" t="s">
        <v>7</v>
      </c>
      <c r="C3" s="4">
        <v>11100</v>
      </c>
      <c r="D3" s="8">
        <f t="shared" ref="D3:D8" si="0">C3/$C$9</f>
        <v>0.30646898036941939</v>
      </c>
      <c r="E3" s="4" t="s">
        <v>14</v>
      </c>
      <c r="F3" s="11">
        <v>1.75</v>
      </c>
      <c r="G3" s="11" t="s">
        <v>19</v>
      </c>
      <c r="H3" s="11">
        <v>1.75</v>
      </c>
      <c r="I3" s="16">
        <f t="shared" ref="I3:I6" si="1">H3*C3</f>
        <v>19425</v>
      </c>
      <c r="J3" s="16">
        <f t="shared" ref="J3:J8" si="2">I3*12</f>
        <v>233100</v>
      </c>
      <c r="K3" s="20">
        <f>K2</f>
        <v>46783</v>
      </c>
    </row>
    <row r="4" spans="1:11" x14ac:dyDescent="0.25">
      <c r="A4" s="2" t="s">
        <v>8</v>
      </c>
      <c r="B4" s="2" t="s">
        <v>7</v>
      </c>
      <c r="C4" s="4">
        <v>2322</v>
      </c>
      <c r="D4" s="8">
        <f t="shared" si="0"/>
        <v>6.4109997515116382E-2</v>
      </c>
      <c r="E4" s="4" t="s">
        <v>14</v>
      </c>
      <c r="F4" s="11">
        <v>1.75</v>
      </c>
      <c r="G4" s="11" t="s">
        <v>19</v>
      </c>
      <c r="H4" s="11">
        <v>1.75</v>
      </c>
      <c r="I4" s="16">
        <f t="shared" si="1"/>
        <v>4063.5</v>
      </c>
      <c r="J4" s="16">
        <f t="shared" si="2"/>
        <v>48762</v>
      </c>
      <c r="K4" s="20">
        <f>K3</f>
        <v>46783</v>
      </c>
    </row>
    <row r="5" spans="1:11" s="64" customFormat="1" x14ac:dyDescent="0.25">
      <c r="A5" s="58">
        <v>203</v>
      </c>
      <c r="B5" s="58" t="s">
        <v>9</v>
      </c>
      <c r="C5" s="41">
        <v>3814</v>
      </c>
      <c r="D5" s="59">
        <f t="shared" si="0"/>
        <v>0.10530384604765454</v>
      </c>
      <c r="E5" s="41" t="s">
        <v>71</v>
      </c>
      <c r="F5" s="60">
        <v>1.97</v>
      </c>
      <c r="G5" s="60">
        <f>-'Operating Expenses'!F47</f>
        <v>-0.5914875764766937</v>
      </c>
      <c r="H5" s="60">
        <f>F5+G5</f>
        <v>1.3785124235233064</v>
      </c>
      <c r="I5" s="61">
        <f t="shared" si="1"/>
        <v>5257.6463833178905</v>
      </c>
      <c r="J5" s="61">
        <f t="shared" si="2"/>
        <v>63091.756599814689</v>
      </c>
      <c r="K5" s="69">
        <v>45322</v>
      </c>
    </row>
    <row r="6" spans="1:11" s="64" customFormat="1" x14ac:dyDescent="0.25">
      <c r="A6" s="58">
        <v>204</v>
      </c>
      <c r="B6" s="58" t="s">
        <v>10</v>
      </c>
      <c r="C6" s="41">
        <v>3017</v>
      </c>
      <c r="D6" s="59">
        <f t="shared" si="0"/>
        <v>8.3298821060769204E-2</v>
      </c>
      <c r="E6" s="41" t="s">
        <v>71</v>
      </c>
      <c r="F6" s="60">
        <v>2.33</v>
      </c>
      <c r="G6" s="60">
        <f>-'Operating Expenses'!F47</f>
        <v>-0.5914875764766937</v>
      </c>
      <c r="H6" s="60">
        <f>F6+G6</f>
        <v>1.7385124235233063</v>
      </c>
      <c r="I6" s="61">
        <f t="shared" si="1"/>
        <v>5245.091981769815</v>
      </c>
      <c r="J6" s="61">
        <f t="shared" si="2"/>
        <v>62941.103781237776</v>
      </c>
      <c r="K6" s="69">
        <v>44957</v>
      </c>
    </row>
    <row r="7" spans="1:11" x14ac:dyDescent="0.25">
      <c r="A7" s="22" t="s">
        <v>70</v>
      </c>
      <c r="B7" s="2" t="s">
        <v>11</v>
      </c>
      <c r="C7" s="4">
        <v>2036</v>
      </c>
      <c r="D7" s="8">
        <f t="shared" si="0"/>
        <v>5.6213589552444848E-2</v>
      </c>
      <c r="E7" s="6" t="s">
        <v>15</v>
      </c>
      <c r="F7" s="11"/>
      <c r="G7" s="11"/>
      <c r="H7" s="11"/>
      <c r="J7" s="16">
        <f t="shared" si="2"/>
        <v>0</v>
      </c>
    </row>
    <row r="8" spans="1:11" x14ac:dyDescent="0.25">
      <c r="A8" s="5">
        <v>202</v>
      </c>
      <c r="B8" s="5" t="s">
        <v>11</v>
      </c>
      <c r="C8" s="12">
        <v>1731</v>
      </c>
      <c r="D8" s="9">
        <f t="shared" si="0"/>
        <v>4.7792595046798642E-2</v>
      </c>
      <c r="E8" s="7" t="s">
        <v>15</v>
      </c>
      <c r="F8" s="13"/>
      <c r="G8" s="13"/>
      <c r="H8" s="13"/>
      <c r="I8" s="18"/>
      <c r="J8" s="19">
        <f t="shared" si="2"/>
        <v>0</v>
      </c>
    </row>
    <row r="9" spans="1:11" ht="15.75" thickBot="1" x14ac:dyDescent="0.3">
      <c r="C9" s="14">
        <f>SUM(C2:C8)</f>
        <v>36219</v>
      </c>
      <c r="D9" s="10">
        <f>SUM(D2:D8)</f>
        <v>1</v>
      </c>
      <c r="F9" s="11"/>
      <c r="G9" s="11"/>
      <c r="H9" s="11"/>
      <c r="J9" s="71">
        <f>SUM(J2:J8)</f>
        <v>503047.06038105249</v>
      </c>
    </row>
    <row r="10" spans="1:11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BCA9-F5CB-4B89-864D-E612E241D1B0}">
  <dimension ref="A1:L10"/>
  <sheetViews>
    <sheetView workbookViewId="0">
      <selection activeCell="C3" sqref="C3"/>
    </sheetView>
  </sheetViews>
  <sheetFormatPr defaultRowHeight="15" x14ac:dyDescent="0.25"/>
  <cols>
    <col min="1" max="2" width="20.7109375" style="2" customWidth="1"/>
    <col min="3" max="5" width="20.7109375" style="4" customWidth="1"/>
    <col min="6" max="8" width="20.7109375" style="2" customWidth="1"/>
    <col min="9" max="10" width="20.7109375" style="17" customWidth="1"/>
    <col min="11" max="11" width="20.7109375" style="2" customWidth="1"/>
    <col min="12" max="15" width="20.7109375" customWidth="1"/>
  </cols>
  <sheetData>
    <row r="1" spans="1:12" s="1" customFormat="1" ht="17.25" x14ac:dyDescent="0.4">
      <c r="A1" s="1" t="s">
        <v>0</v>
      </c>
      <c r="B1" s="1" t="s">
        <v>5</v>
      </c>
      <c r="C1" s="3" t="s">
        <v>1</v>
      </c>
      <c r="D1" s="3" t="s">
        <v>16</v>
      </c>
      <c r="E1" s="3" t="s">
        <v>13</v>
      </c>
      <c r="F1" s="1" t="s">
        <v>2</v>
      </c>
      <c r="G1" s="1" t="s">
        <v>18</v>
      </c>
      <c r="H1" s="1" t="s">
        <v>20</v>
      </c>
      <c r="I1" s="15" t="s">
        <v>3</v>
      </c>
      <c r="J1" s="15" t="s">
        <v>4</v>
      </c>
      <c r="K1" s="1" t="s">
        <v>17</v>
      </c>
    </row>
    <row r="2" spans="1:12" x14ac:dyDescent="0.25">
      <c r="A2" s="2" t="s">
        <v>6</v>
      </c>
      <c r="B2" s="2" t="s">
        <v>7</v>
      </c>
      <c r="C2" s="4">
        <v>12199</v>
      </c>
      <c r="D2" s="8">
        <f>C2/$C$9</f>
        <v>0.33681217040779704</v>
      </c>
      <c r="E2" s="4" t="s">
        <v>14</v>
      </c>
      <c r="F2" s="11">
        <v>0.68</v>
      </c>
      <c r="G2" s="11" t="s">
        <v>19</v>
      </c>
      <c r="H2" s="11">
        <f>F2</f>
        <v>0.68</v>
      </c>
      <c r="I2" s="16">
        <f>H2*C2</f>
        <v>8295.32</v>
      </c>
      <c r="J2" s="16">
        <f>I2*12</f>
        <v>99543.84</v>
      </c>
      <c r="K2" s="20">
        <v>46783</v>
      </c>
    </row>
    <row r="3" spans="1:12" x14ac:dyDescent="0.25">
      <c r="A3" s="2">
        <v>100</v>
      </c>
      <c r="B3" s="2" t="s">
        <v>7</v>
      </c>
      <c r="C3" s="4">
        <v>11100</v>
      </c>
      <c r="D3" s="8">
        <f t="shared" ref="D3:D8" si="0">C3/$C$9</f>
        <v>0.30646898036941939</v>
      </c>
      <c r="E3" s="4" t="s">
        <v>14</v>
      </c>
      <c r="F3" s="11">
        <v>1.85</v>
      </c>
      <c r="G3" s="11" t="s">
        <v>19</v>
      </c>
      <c r="H3" s="11">
        <f t="shared" ref="H3:H6" si="1">F3</f>
        <v>1.85</v>
      </c>
      <c r="I3" s="16">
        <f t="shared" ref="I3:I6" si="2">H3*C3</f>
        <v>20535</v>
      </c>
      <c r="J3" s="16">
        <f t="shared" ref="J3:J8" si="3">I3*12</f>
        <v>246420</v>
      </c>
      <c r="K3" s="20">
        <f>K2</f>
        <v>46783</v>
      </c>
    </row>
    <row r="4" spans="1:12" x14ac:dyDescent="0.25">
      <c r="A4" s="2" t="s">
        <v>8</v>
      </c>
      <c r="B4" s="2" t="s">
        <v>7</v>
      </c>
      <c r="C4" s="4">
        <v>2322</v>
      </c>
      <c r="D4" s="8">
        <f t="shared" si="0"/>
        <v>6.4109997515116382E-2</v>
      </c>
      <c r="E4" s="4" t="s">
        <v>14</v>
      </c>
      <c r="F4" s="11">
        <v>1.85</v>
      </c>
      <c r="G4" s="11" t="s">
        <v>19</v>
      </c>
      <c r="H4" s="11">
        <f t="shared" si="1"/>
        <v>1.85</v>
      </c>
      <c r="I4" s="16">
        <f t="shared" si="2"/>
        <v>4295.7</v>
      </c>
      <c r="J4" s="16">
        <f t="shared" si="3"/>
        <v>51548.399999999994</v>
      </c>
      <c r="K4" s="20">
        <f>K3</f>
        <v>46783</v>
      </c>
    </row>
    <row r="5" spans="1:12" s="64" customFormat="1" x14ac:dyDescent="0.25">
      <c r="A5" s="58">
        <v>203</v>
      </c>
      <c r="B5" s="58" t="s">
        <v>69</v>
      </c>
      <c r="C5" s="41">
        <v>3814</v>
      </c>
      <c r="D5" s="59">
        <f t="shared" si="0"/>
        <v>0.10530384604765454</v>
      </c>
      <c r="E5" s="41" t="s">
        <v>14</v>
      </c>
      <c r="F5" s="60">
        <v>1.85</v>
      </c>
      <c r="G5" s="60" t="s">
        <v>19</v>
      </c>
      <c r="H5" s="60">
        <f t="shared" si="1"/>
        <v>1.85</v>
      </c>
      <c r="I5" s="61">
        <f t="shared" si="2"/>
        <v>7055.9000000000005</v>
      </c>
      <c r="J5" s="61">
        <f t="shared" si="3"/>
        <v>84670.8</v>
      </c>
      <c r="K5" s="62">
        <v>45322</v>
      </c>
      <c r="L5" s="63"/>
    </row>
    <row r="6" spans="1:12" s="64" customFormat="1" x14ac:dyDescent="0.25">
      <c r="A6" s="58">
        <v>204</v>
      </c>
      <c r="B6" s="58" t="s">
        <v>69</v>
      </c>
      <c r="C6" s="41">
        <v>3017</v>
      </c>
      <c r="D6" s="59">
        <f t="shared" si="0"/>
        <v>8.3298821060769204E-2</v>
      </c>
      <c r="E6" s="41" t="s">
        <v>14</v>
      </c>
      <c r="F6" s="60">
        <v>1.85</v>
      </c>
      <c r="G6" s="60" t="s">
        <v>19</v>
      </c>
      <c r="H6" s="60">
        <f t="shared" si="1"/>
        <v>1.85</v>
      </c>
      <c r="I6" s="61">
        <f t="shared" si="2"/>
        <v>5581.45</v>
      </c>
      <c r="J6" s="61">
        <f t="shared" si="3"/>
        <v>66977.399999999994</v>
      </c>
      <c r="K6" s="62">
        <v>44957</v>
      </c>
      <c r="L6" s="63"/>
    </row>
    <row r="7" spans="1:12" x14ac:dyDescent="0.25">
      <c r="A7" s="22" t="s">
        <v>70</v>
      </c>
      <c r="B7" s="2" t="s">
        <v>69</v>
      </c>
      <c r="C7" s="4">
        <v>2036</v>
      </c>
      <c r="D7" s="8">
        <f t="shared" si="0"/>
        <v>5.6213589552444848E-2</v>
      </c>
      <c r="E7" s="6" t="s">
        <v>14</v>
      </c>
      <c r="F7" s="11">
        <f>F3</f>
        <v>1.85</v>
      </c>
      <c r="G7" s="11" t="s">
        <v>19</v>
      </c>
      <c r="H7" s="11">
        <f>F7</f>
        <v>1.85</v>
      </c>
      <c r="I7" s="16">
        <f t="shared" ref="I7:I8" si="4">H7*C7</f>
        <v>3766.6000000000004</v>
      </c>
      <c r="J7" s="16">
        <f t="shared" si="3"/>
        <v>45199.200000000004</v>
      </c>
      <c r="K7" s="20">
        <f>K2</f>
        <v>46783</v>
      </c>
    </row>
    <row r="8" spans="1:12" x14ac:dyDescent="0.25">
      <c r="A8" s="5">
        <v>202</v>
      </c>
      <c r="B8" s="5" t="s">
        <v>69</v>
      </c>
      <c r="C8" s="12">
        <v>1731</v>
      </c>
      <c r="D8" s="9">
        <f t="shared" si="0"/>
        <v>4.7792595046798642E-2</v>
      </c>
      <c r="E8" s="7" t="s">
        <v>14</v>
      </c>
      <c r="F8" s="13">
        <f>F3</f>
        <v>1.85</v>
      </c>
      <c r="G8" s="13" t="s">
        <v>19</v>
      </c>
      <c r="H8" s="13">
        <f>F8</f>
        <v>1.85</v>
      </c>
      <c r="I8" s="19">
        <f t="shared" si="4"/>
        <v>3202.3500000000004</v>
      </c>
      <c r="J8" s="19">
        <f t="shared" si="3"/>
        <v>38428.200000000004</v>
      </c>
      <c r="K8" s="21">
        <f>K2</f>
        <v>46783</v>
      </c>
    </row>
    <row r="9" spans="1:12" ht="15.75" thickBot="1" x14ac:dyDescent="0.3">
      <c r="C9" s="14">
        <f>SUM(C2:C8)</f>
        <v>36219</v>
      </c>
      <c r="D9" s="10">
        <f>SUM(D2:D8)</f>
        <v>1</v>
      </c>
      <c r="F9" s="11"/>
      <c r="G9" s="11"/>
      <c r="H9" s="11"/>
      <c r="J9" s="17">
        <f>SUM(J2:J8)</f>
        <v>632787.83999999985</v>
      </c>
    </row>
    <row r="10" spans="1:12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Operating Expenses</vt:lpstr>
      <vt:lpstr>Scheduled Income </vt:lpstr>
      <vt:lpstr>Stabilized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Wetzel</dc:creator>
  <cp:lastModifiedBy>Scott Wetzel</cp:lastModifiedBy>
  <dcterms:created xsi:type="dcterms:W3CDTF">2022-05-27T17:34:24Z</dcterms:created>
  <dcterms:modified xsi:type="dcterms:W3CDTF">2022-09-29T23:01:51Z</dcterms:modified>
</cp:coreProperties>
</file>